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5600" windowHeight="8250" activeTab="0"/>
  </bookViews>
  <sheets>
    <sheet name="du_toan_thu_chi" sheetId="1" r:id="rId1"/>
  </sheets>
  <definedNames/>
  <calcPr fullCalcOnLoad="1"/>
</workbook>
</file>

<file path=xl/sharedStrings.xml><?xml version="1.0" encoding="utf-8"?>
<sst xmlns="http://schemas.openxmlformats.org/spreadsheetml/2006/main" count="92" uniqueCount="76">
  <si>
    <t>Biên chế giao</t>
  </si>
  <si>
    <t>UBND HUYỆN BÌNH GIANG</t>
  </si>
  <si>
    <t>(Kèm theo công văn số 538/SGDĐT-KHTC ngày 16/5/2017 của Sở Giáo dục và Đào tạo Hải Dương)</t>
  </si>
  <si>
    <t>Tổng số tiết kiêm nhiệm/tuần</t>
  </si>
  <si>
    <t>Quản lý</t>
  </si>
  <si>
    <t xml:space="preserve">TT
</t>
  </si>
  <si>
    <t xml:space="preserve">Trường Tiểu học
</t>
  </si>
  <si>
    <t xml:space="preserve"> Tổng số lớp
</t>
  </si>
  <si>
    <t xml:space="preserve">Tổng số học sinh
</t>
  </si>
  <si>
    <t xml:space="preserve">Số học sinh dự kiến thu
</t>
  </si>
  <si>
    <t xml:space="preserve">TS
</t>
  </si>
  <si>
    <t xml:space="preserve">HT
</t>
  </si>
  <si>
    <t xml:space="preserve">PHT
</t>
  </si>
  <si>
    <t xml:space="preserve">GV
</t>
  </si>
  <si>
    <t xml:space="preserve">Tổng số tiết thực dạy/tuần
</t>
  </si>
  <si>
    <t xml:space="preserve">Chủ nhiệm
</t>
  </si>
  <si>
    <t xml:space="preserve">ĐĐ
</t>
  </si>
  <si>
    <t xml:space="preserve">TT,TP
</t>
  </si>
  <si>
    <t xml:space="preserve">Khác
</t>
  </si>
  <si>
    <t xml:space="preserve">Cộng
</t>
  </si>
  <si>
    <t xml:space="preserve">Tổng số
</t>
  </si>
  <si>
    <t xml:space="preserve">Số giờ dạy buổi 2 của Hợp đồng không do nhà trường giảng dạy
</t>
  </si>
  <si>
    <r>
      <t xml:space="preserve">Số giờ dạy buổi 2 phải thanh toán trong năm </t>
    </r>
    <r>
      <rPr>
        <i/>
        <sz val="12"/>
        <rFont val="Times New Roman"/>
        <family val="1"/>
      </rPr>
      <t xml:space="preserve">(không tính Hợp đồng không do nhà trường giảng dạy)
</t>
    </r>
  </si>
  <si>
    <t xml:space="preserve">Tiền lương bình quân 1 giờ dạy toàn trường
</t>
  </si>
  <si>
    <t xml:space="preserve">Tiền lương bình quân 1 giờ dạy buổi 2
</t>
  </si>
  <si>
    <t xml:space="preserve">Khối 1
</t>
  </si>
  <si>
    <t xml:space="preserve">Khối 2
</t>
  </si>
  <si>
    <t xml:space="preserve">Khối 3
</t>
  </si>
  <si>
    <t xml:space="preserve">Khối 4
</t>
  </si>
  <si>
    <t xml:space="preserve">Khối 5
</t>
  </si>
  <si>
    <t>Khối</t>
  </si>
  <si>
    <t>Số lớp</t>
  </si>
  <si>
    <t>I</t>
  </si>
  <si>
    <t>II</t>
  </si>
  <si>
    <t>III</t>
  </si>
  <si>
    <t>IV</t>
  </si>
  <si>
    <t>V</t>
  </si>
  <si>
    <t>Số tiền chi trả Victoria</t>
  </si>
  <si>
    <t>Số tiền chi trả KNS</t>
  </si>
  <si>
    <t>Khối 1</t>
  </si>
  <si>
    <t>Khối 2</t>
  </si>
  <si>
    <t>Khối 4</t>
  </si>
  <si>
    <t>Khối 5</t>
  </si>
  <si>
    <t>Victoria</t>
  </si>
  <si>
    <t>KNS</t>
  </si>
  <si>
    <t>Nhà trường</t>
  </si>
  <si>
    <t>Tổng thu</t>
  </si>
  <si>
    <t>Tổng chi</t>
  </si>
  <si>
    <t>Tổng số thu</t>
  </si>
  <si>
    <t>Tổng số chi</t>
  </si>
  <si>
    <t>Khối 3</t>
  </si>
  <si>
    <t>HỌC KỲ I, NĂM HỌC 2019 - 2020 (18 tuần)</t>
  </si>
  <si>
    <r>
      <t xml:space="preserve">Tổng số tiền phải chi trả học 2buổi/ngày học kỳ I </t>
    </r>
    <r>
      <rPr>
        <i/>
        <sz val="12"/>
        <rFont val="Times New Roman"/>
        <family val="1"/>
      </rPr>
      <t xml:space="preserve">(không tính Hợp đồng không do nhà trường giảng dạy)
</t>
    </r>
  </si>
  <si>
    <t>Tổng số giờ dạy phải thực hiện trong học kì I</t>
  </si>
  <si>
    <t xml:space="preserve">Tổng định mức giờ dạy trong học kì I của CBQL,GV
</t>
  </si>
  <si>
    <t xml:space="preserve">Số giờ dạy buổi 2 phải thanh toán trong học kì I
</t>
  </si>
  <si>
    <t xml:space="preserve">Số thu bình quân HS/kì I (toàn trường)
</t>
  </si>
  <si>
    <t xml:space="preserve">Số tiền chi trả cho GV trong học kì I
</t>
  </si>
  <si>
    <t xml:space="preserve">Số tiền chi trả cho quản lý và CSVC trong học kì I
</t>
  </si>
  <si>
    <t>Số tiền đã hỗ trợ theo Thông tư 28 của BGD&amp;ĐT</t>
  </si>
  <si>
    <t>Mức hỗ trợ/HS/năm</t>
  </si>
  <si>
    <t>Mức hỗ trợ/HS/tuần</t>
  </si>
  <si>
    <t>Số thu bình quân HS/học kì I (theo khối)</t>
  </si>
  <si>
    <t>DỰ TOÁN THU, CHI TIỀN HỌC 2 BUỔI/NGÀY</t>
  </si>
  <si>
    <t>Số HS</t>
  </si>
  <si>
    <t>Số tiền/HS</t>
  </si>
  <si>
    <t>Cộng</t>
  </si>
  <si>
    <r>
      <t xml:space="preserve">Học kỹ năng sống </t>
    </r>
    <r>
      <rPr>
        <i/>
        <sz val="11"/>
        <rFont val="Times New Roman"/>
        <family val="1"/>
      </rPr>
      <t>(Hợp đồng do các Trung tâm thực hiện)</t>
    </r>
  </si>
  <si>
    <t xml:space="preserve">Số HS dự kiến thu </t>
  </si>
  <si>
    <r>
      <t xml:space="preserve">Học T. Anh victoria </t>
    </r>
    <r>
      <rPr>
        <b/>
        <i/>
        <sz val="11"/>
        <rFont val="Times New Roman"/>
        <family val="1"/>
      </rPr>
      <t>(hoặc các Trung tâm khác)</t>
    </r>
  </si>
  <si>
    <r>
      <t>*Ghi chú:</t>
    </r>
    <r>
      <rPr>
        <sz val="12"/>
        <rFont val="Times New Roman"/>
        <family val="0"/>
      </rPr>
      <t xml:space="preserve"> </t>
    </r>
    <r>
      <rPr>
        <i/>
        <sz val="12"/>
        <rFont val="Times New Roman"/>
        <family val="1"/>
      </rPr>
      <t>Đề nghị trường in và giữ nguyên các biểu mẫu này, tuyệt đối không thay đổi hay cắt bớt bảng biểu, chỉ nhập số liệu vào ô màu trắng.</t>
    </r>
  </si>
  <si>
    <t>(Chỉ nhập số liệu những khối học tiếng Anh Victoria hoặc Kỹ năng sống).</t>
  </si>
  <si>
    <t>Số thu từ HS</t>
  </si>
  <si>
    <t>NS hỗ trợ</t>
  </si>
  <si>
    <t>TRƯỜNG TIỂU HỌC VĨNH TUY</t>
  </si>
  <si>
    <t>Vĩnh Tuy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</si>
</sst>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  <numFmt numFmtId="174" formatCode="0.00000"/>
    <numFmt numFmtId="175" formatCode="0.0000"/>
    <numFmt numFmtId="176" formatCode="0.00000000"/>
    <numFmt numFmtId="177" formatCode="0.000000000"/>
    <numFmt numFmtId="178" formatCode="0.0000000000"/>
    <numFmt numFmtId="179" formatCode="0.00000000000"/>
    <numFmt numFmtId="180" formatCode="0.0000000"/>
    <numFmt numFmtId="181" formatCode="0.000000"/>
    <numFmt numFmtId="182" formatCode="#,##0.000"/>
    <numFmt numFmtId="183" formatCode="[$-42A]h:mm:ss\ AM/PM"/>
    <numFmt numFmtId="184" formatCode="[$-42A]dd\ mmmm\ yyyy"/>
    <numFmt numFmtId="185" formatCode="#,##0.0"/>
    <numFmt numFmtId="186" formatCode="0.00_);\(0.00\)"/>
    <numFmt numFmtId="187" formatCode="0.000_);\(0.000\)"/>
    <numFmt numFmtId="188" formatCode="0.0_);\(0.0\)"/>
    <numFmt numFmtId="189" formatCode="0_);\(0\)"/>
  </numFmts>
  <fonts count="57">
    <font>
      <sz val="12"/>
      <name val="Times New Roman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10"/>
      <name val="Times New Roman"/>
      <family val="1"/>
    </font>
    <font>
      <b/>
      <sz val="10"/>
      <color indexed="62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4460D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173" fontId="6" fillId="33" borderId="10" xfId="0" applyNumberFormat="1" applyFont="1" applyFill="1" applyBorder="1" applyAlignment="1">
      <alignment horizontal="right" vertical="center" wrapText="1"/>
    </xf>
    <xf numFmtId="0" fontId="54" fillId="33" borderId="10" xfId="0" applyFont="1" applyFill="1" applyBorder="1" applyAlignment="1">
      <alignment horizontal="center" vertical="center" wrapText="1"/>
    </xf>
    <xf numFmtId="173" fontId="55" fillId="33" borderId="10" xfId="0" applyNumberFormat="1" applyFont="1" applyFill="1" applyBorder="1" applyAlignment="1">
      <alignment horizontal="right" vertical="center" wrapText="1"/>
    </xf>
    <xf numFmtId="2" fontId="55" fillId="33" borderId="10" xfId="0" applyNumberFormat="1" applyFont="1" applyFill="1" applyBorder="1" applyAlignment="1">
      <alignment horizontal="righ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/>
    </xf>
    <xf numFmtId="0" fontId="56" fillId="33" borderId="10" xfId="0" applyFont="1" applyFill="1" applyBorder="1" applyAlignment="1">
      <alignment vertical="center" wrapText="1"/>
    </xf>
    <xf numFmtId="0" fontId="56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5" fillId="33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73" fontId="6" fillId="33" borderId="12" xfId="0" applyNumberFormat="1" applyFont="1" applyFill="1" applyBorder="1" applyAlignment="1">
      <alignment horizontal="center" vertical="center" wrapText="1"/>
    </xf>
    <xf numFmtId="173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44" fontId="0" fillId="0" borderId="10" xfId="44" applyFont="1" applyBorder="1" applyAlignment="1">
      <alignment horizontal="center" vertical="center" wrapText="1"/>
    </xf>
    <xf numFmtId="44" fontId="0" fillId="0" borderId="10" xfId="44" applyFont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55" fillId="33" borderId="22" xfId="0" applyFont="1" applyFill="1" applyBorder="1" applyAlignment="1">
      <alignment horizontal="left" vertical="center" wrapText="1"/>
    </xf>
    <xf numFmtId="0" fontId="55" fillId="33" borderId="15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19050</xdr:rowOff>
    </xdr:from>
    <xdr:to>
      <xdr:col>2</xdr:col>
      <xdr:colOff>514350</xdr:colOff>
      <xdr:row>2</xdr:row>
      <xdr:rowOff>19050</xdr:rowOff>
    </xdr:to>
    <xdr:sp>
      <xdr:nvSpPr>
        <xdr:cNvPr id="1" name="Line 2"/>
        <xdr:cNvSpPr>
          <a:spLocks/>
        </xdr:cNvSpPr>
      </xdr:nvSpPr>
      <xdr:spPr>
        <a:xfrm>
          <a:off x="1095375" y="5143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="85" zoomScaleNormal="85" zoomScalePageLayoutView="0" workbookViewId="0" topLeftCell="M1">
      <selection activeCell="AC25" sqref="AC25"/>
    </sheetView>
  </sheetViews>
  <sheetFormatPr defaultColWidth="9.00390625" defaultRowHeight="15.75"/>
  <cols>
    <col min="1" max="1" width="4.50390625" style="0" customWidth="1"/>
    <col min="2" max="2" width="11.75390625" style="0" customWidth="1"/>
    <col min="3" max="3" width="6.875" style="0" customWidth="1"/>
    <col min="4" max="4" width="6.50390625" style="0" customWidth="1"/>
    <col min="5" max="5" width="7.00390625" style="0" customWidth="1"/>
    <col min="6" max="6" width="7.625" style="0" customWidth="1"/>
    <col min="7" max="7" width="6.00390625" style="0" customWidth="1"/>
    <col min="8" max="8" width="6.75390625" style="0" customWidth="1"/>
    <col min="9" max="9" width="6.00390625" style="0" customWidth="1"/>
    <col min="10" max="10" width="8.00390625" style="0" customWidth="1"/>
    <col min="11" max="11" width="6.75390625" style="0" customWidth="1"/>
    <col min="12" max="13" width="5.50390625" style="0" customWidth="1"/>
    <col min="14" max="14" width="5.875" style="0" customWidth="1"/>
    <col min="15" max="15" width="6.50390625" style="0" customWidth="1"/>
    <col min="16" max="16" width="6.25390625" style="0" customWidth="1"/>
    <col min="17" max="17" width="7.625" style="0" customWidth="1"/>
    <col min="18" max="18" width="7.375" style="0" customWidth="1"/>
    <col min="19" max="19" width="8.875" style="0" customWidth="1"/>
    <col min="20" max="20" width="11.50390625" style="0" customWidth="1"/>
    <col min="21" max="22" width="8.25390625" style="0" customWidth="1"/>
    <col min="23" max="23" width="13.00390625" style="0" customWidth="1"/>
    <col min="24" max="24" width="9.875" style="0" customWidth="1"/>
    <col min="25" max="25" width="10.25390625" style="0" customWidth="1"/>
    <col min="26" max="26" width="8.50390625" style="0" customWidth="1"/>
    <col min="27" max="27" width="8.75390625" style="0" customWidth="1"/>
    <col min="28" max="28" width="9.375" style="0" customWidth="1"/>
    <col min="29" max="29" width="11.625" style="0" customWidth="1"/>
    <col min="30" max="30" width="8.25390625" style="0" customWidth="1"/>
    <col min="31" max="31" width="7.875" style="0" customWidth="1"/>
    <col min="32" max="32" width="9.875" style="0" customWidth="1"/>
    <col min="33" max="33" width="9.125" style="0" customWidth="1"/>
  </cols>
  <sheetData>
    <row r="1" spans="1:29" ht="23.25" customHeight="1">
      <c r="A1" s="95" t="s">
        <v>1</v>
      </c>
      <c r="B1" s="95"/>
      <c r="C1" s="95"/>
      <c r="D1" s="95"/>
      <c r="E1" s="9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5" ht="15.75">
      <c r="A2" s="96" t="s">
        <v>74</v>
      </c>
      <c r="B2" s="96"/>
      <c r="C2" s="96"/>
      <c r="D2" s="96"/>
      <c r="E2" s="96"/>
    </row>
    <row r="4" spans="1:29" ht="18.75">
      <c r="A4" s="97" t="s">
        <v>63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2"/>
      <c r="X4" s="2"/>
      <c r="Y4" s="2"/>
      <c r="Z4" s="2"/>
      <c r="AA4" s="2"/>
      <c r="AB4" s="2"/>
      <c r="AC4" s="2"/>
    </row>
    <row r="5" spans="1:22" ht="18.75">
      <c r="A5" s="97" t="s">
        <v>51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ht="15.75">
      <c r="A6" s="98" t="s">
        <v>2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2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33" s="1" customFormat="1" ht="32.25" customHeight="1">
      <c r="A8" s="79" t="s">
        <v>5</v>
      </c>
      <c r="B8" s="79" t="s">
        <v>6</v>
      </c>
      <c r="C8" s="79" t="s">
        <v>7</v>
      </c>
      <c r="D8" s="79" t="s">
        <v>8</v>
      </c>
      <c r="E8" s="79" t="s">
        <v>9</v>
      </c>
      <c r="F8" s="92" t="s">
        <v>0</v>
      </c>
      <c r="G8" s="93"/>
      <c r="H8" s="93"/>
      <c r="I8" s="93"/>
      <c r="J8" s="112" t="s">
        <v>53</v>
      </c>
      <c r="K8" s="113"/>
      <c r="L8" s="113"/>
      <c r="M8" s="113"/>
      <c r="N8" s="113"/>
      <c r="O8" s="113"/>
      <c r="P8" s="113"/>
      <c r="Q8" s="99" t="s">
        <v>54</v>
      </c>
      <c r="R8" s="99" t="s">
        <v>55</v>
      </c>
      <c r="S8" s="79" t="s">
        <v>21</v>
      </c>
      <c r="T8" s="79" t="s">
        <v>22</v>
      </c>
      <c r="U8" s="79" t="s">
        <v>23</v>
      </c>
      <c r="V8" s="79" t="s">
        <v>24</v>
      </c>
      <c r="W8" s="99" t="s">
        <v>52</v>
      </c>
      <c r="X8" s="99" t="s">
        <v>57</v>
      </c>
      <c r="Y8" s="99" t="s">
        <v>58</v>
      </c>
      <c r="Z8" s="99" t="s">
        <v>56</v>
      </c>
      <c r="AA8" s="101" t="s">
        <v>62</v>
      </c>
      <c r="AB8" s="102"/>
      <c r="AC8" s="102"/>
      <c r="AD8" s="102"/>
      <c r="AE8" s="103"/>
      <c r="AF8" s="100" t="s">
        <v>37</v>
      </c>
      <c r="AG8" s="100" t="s">
        <v>38</v>
      </c>
    </row>
    <row r="9" spans="1:33" s="1" customFormat="1" ht="21" customHeight="1">
      <c r="A9" s="80"/>
      <c r="B9" s="80"/>
      <c r="C9" s="80"/>
      <c r="D9" s="80"/>
      <c r="E9" s="80"/>
      <c r="F9" s="79" t="s">
        <v>10</v>
      </c>
      <c r="G9" s="121" t="s">
        <v>4</v>
      </c>
      <c r="H9" s="121"/>
      <c r="I9" s="79" t="s">
        <v>13</v>
      </c>
      <c r="J9" s="79" t="s">
        <v>14</v>
      </c>
      <c r="K9" s="92" t="s">
        <v>3</v>
      </c>
      <c r="L9" s="93"/>
      <c r="M9" s="93"/>
      <c r="N9" s="93"/>
      <c r="O9" s="94"/>
      <c r="P9" s="79" t="s">
        <v>20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104"/>
      <c r="AB9" s="105"/>
      <c r="AC9" s="105"/>
      <c r="AD9" s="105"/>
      <c r="AE9" s="106"/>
      <c r="AF9" s="100"/>
      <c r="AG9" s="100"/>
    </row>
    <row r="10" spans="1:33" s="1" customFormat="1" ht="21" customHeight="1">
      <c r="A10" s="80"/>
      <c r="B10" s="80"/>
      <c r="C10" s="80"/>
      <c r="D10" s="80"/>
      <c r="E10" s="80"/>
      <c r="F10" s="80"/>
      <c r="G10" s="79" t="s">
        <v>11</v>
      </c>
      <c r="H10" s="79" t="s">
        <v>12</v>
      </c>
      <c r="I10" s="80"/>
      <c r="J10" s="80"/>
      <c r="K10" s="79" t="s">
        <v>15</v>
      </c>
      <c r="L10" s="79" t="s">
        <v>16</v>
      </c>
      <c r="M10" s="79" t="s">
        <v>17</v>
      </c>
      <c r="N10" s="79" t="s">
        <v>18</v>
      </c>
      <c r="O10" s="79" t="s">
        <v>19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107"/>
      <c r="AB10" s="108"/>
      <c r="AC10" s="108"/>
      <c r="AD10" s="108"/>
      <c r="AE10" s="109"/>
      <c r="AF10" s="100"/>
      <c r="AG10" s="100"/>
    </row>
    <row r="11" spans="1:33" s="1" customFormat="1" ht="89.2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9" t="s">
        <v>25</v>
      </c>
      <c r="AB11" s="9" t="s">
        <v>26</v>
      </c>
      <c r="AC11" s="9" t="s">
        <v>27</v>
      </c>
      <c r="AD11" s="3" t="s">
        <v>28</v>
      </c>
      <c r="AE11" s="3" t="s">
        <v>29</v>
      </c>
      <c r="AF11" s="100"/>
      <c r="AG11" s="100"/>
    </row>
    <row r="12" spans="1:33" s="1" customFormat="1" ht="24.75" customHeight="1">
      <c r="A12" s="4">
        <v>1</v>
      </c>
      <c r="B12" s="4" t="s">
        <v>75</v>
      </c>
      <c r="C12" s="4">
        <v>15</v>
      </c>
      <c r="D12" s="4">
        <v>425</v>
      </c>
      <c r="E12" s="4">
        <v>405</v>
      </c>
      <c r="F12" s="4">
        <v>20</v>
      </c>
      <c r="G12" s="4">
        <v>1</v>
      </c>
      <c r="H12" s="4">
        <v>1</v>
      </c>
      <c r="I12" s="4">
        <v>15</v>
      </c>
      <c r="J12" s="6">
        <f>C12*35</f>
        <v>525</v>
      </c>
      <c r="K12" s="7">
        <f>C12*3</f>
        <v>45</v>
      </c>
      <c r="L12" s="5">
        <v>12</v>
      </c>
      <c r="M12" s="5">
        <v>8</v>
      </c>
      <c r="N12" s="5">
        <v>12</v>
      </c>
      <c r="O12" s="7">
        <f>SUM(K12:N12)</f>
        <v>77</v>
      </c>
      <c r="P12" s="6">
        <f>(J12+O12)*18</f>
        <v>10836</v>
      </c>
      <c r="Q12" s="6">
        <f>(I12*23+H12*4+G12*2)*18</f>
        <v>6318</v>
      </c>
      <c r="R12" s="6">
        <f>P12-Q12</f>
        <v>4518</v>
      </c>
      <c r="S12" s="27">
        <v>432</v>
      </c>
      <c r="T12" s="6">
        <f>R12-S12</f>
        <v>4086</v>
      </c>
      <c r="U12" s="4">
        <v>74765</v>
      </c>
      <c r="V12" s="6">
        <f>U12*1.5</f>
        <v>112147.5</v>
      </c>
      <c r="W12" s="6">
        <f>T12*V12</f>
        <v>458234685</v>
      </c>
      <c r="X12" s="6">
        <f>W12*80/100</f>
        <v>366587748</v>
      </c>
      <c r="Y12" s="6">
        <f>W12*20/100</f>
        <v>91646937</v>
      </c>
      <c r="Z12" s="6">
        <f>R12*V12/E12</f>
        <v>1251067.6666666667</v>
      </c>
      <c r="AA12" s="6">
        <f>Z12-((C21+C22+C23)*18*2*V12/(D21+D22+D23))+630000/35*18-N16*18</f>
        <v>1410848.6208445644</v>
      </c>
      <c r="AB12" s="6">
        <f>AA12</f>
        <v>1410848.6208445644</v>
      </c>
      <c r="AC12" s="6">
        <f>AA12</f>
        <v>1410848.6208445644</v>
      </c>
      <c r="AD12" s="17">
        <f>Z12-((E24+E25)*18*V12/(F24+F25))+450000/35*18-N16*18</f>
        <v>1368879.5952380954</v>
      </c>
      <c r="AE12" s="17">
        <f>AD12</f>
        <v>1368879.5952380954</v>
      </c>
      <c r="AF12" s="7">
        <f>AC16+AC17+AC18+AC19</f>
        <v>85860000</v>
      </c>
      <c r="AG12" s="7">
        <f>AC20+AC21+AC22+AC23+AC24</f>
        <v>32400000</v>
      </c>
    </row>
    <row r="14" spans="1:31" ht="24.75" customHeight="1">
      <c r="A14" s="1"/>
      <c r="B14" s="89" t="s">
        <v>30</v>
      </c>
      <c r="C14" s="63" t="s">
        <v>69</v>
      </c>
      <c r="D14" s="64"/>
      <c r="E14" s="63" t="s">
        <v>67</v>
      </c>
      <c r="F14" s="69"/>
      <c r="G14" s="47"/>
      <c r="H14" s="47"/>
      <c r="I14" s="29"/>
      <c r="J14" s="120" t="s">
        <v>59</v>
      </c>
      <c r="K14" s="120"/>
      <c r="L14" s="120"/>
      <c r="M14" s="120"/>
      <c r="N14" s="120"/>
      <c r="O14" s="120"/>
      <c r="P14" s="120"/>
      <c r="Q14" s="120"/>
      <c r="R14" s="13"/>
      <c r="S14" s="12"/>
      <c r="T14" s="78" t="s">
        <v>48</v>
      </c>
      <c r="U14" s="78"/>
      <c r="V14" s="78"/>
      <c r="W14" s="78"/>
      <c r="X14" s="21"/>
      <c r="Y14" s="61" t="s">
        <v>49</v>
      </c>
      <c r="Z14" s="124"/>
      <c r="AA14" s="124"/>
      <c r="AB14" s="124"/>
      <c r="AC14" s="62"/>
      <c r="AD14" s="13"/>
      <c r="AE14" s="13"/>
    </row>
    <row r="15" spans="2:38" ht="15.75" customHeight="1">
      <c r="B15" s="90"/>
      <c r="C15" s="65"/>
      <c r="D15" s="66"/>
      <c r="E15" s="70"/>
      <c r="F15" s="71"/>
      <c r="G15" s="47"/>
      <c r="H15" s="47"/>
      <c r="I15" s="16"/>
      <c r="J15" s="110" t="s">
        <v>60</v>
      </c>
      <c r="K15" s="110"/>
      <c r="L15" s="110"/>
      <c r="M15" s="110"/>
      <c r="N15" s="110">
        <v>52700</v>
      </c>
      <c r="O15" s="110"/>
      <c r="P15" s="110"/>
      <c r="Q15" s="110"/>
      <c r="R15" s="16"/>
      <c r="S15" s="16"/>
      <c r="T15" s="56" t="s">
        <v>30</v>
      </c>
      <c r="U15" s="74" t="s">
        <v>64</v>
      </c>
      <c r="V15" s="76" t="s">
        <v>65</v>
      </c>
      <c r="W15" s="122" t="s">
        <v>66</v>
      </c>
      <c r="X15" s="23"/>
      <c r="Y15" s="56" t="s">
        <v>43</v>
      </c>
      <c r="Z15" s="33" t="s">
        <v>30</v>
      </c>
      <c r="AA15" s="33" t="s">
        <v>64</v>
      </c>
      <c r="AB15" s="33" t="s">
        <v>65</v>
      </c>
      <c r="AC15" s="40" t="s">
        <v>66</v>
      </c>
      <c r="AD15" s="16"/>
      <c r="AE15" s="16"/>
      <c r="AF15" s="1"/>
      <c r="AG15" s="1"/>
      <c r="AH15" s="1"/>
      <c r="AI15" s="1"/>
      <c r="AJ15" s="1"/>
      <c r="AK15" s="1"/>
      <c r="AL15" s="1"/>
    </row>
    <row r="16" spans="2:38" ht="15.75">
      <c r="B16" s="90"/>
      <c r="C16" s="65"/>
      <c r="D16" s="66"/>
      <c r="E16" s="70"/>
      <c r="F16" s="71"/>
      <c r="G16" s="47"/>
      <c r="H16" s="47"/>
      <c r="I16" s="16"/>
      <c r="J16" s="110" t="s">
        <v>61</v>
      </c>
      <c r="K16" s="110"/>
      <c r="L16" s="110"/>
      <c r="M16" s="110"/>
      <c r="N16" s="111">
        <f>N15/35</f>
        <v>1505.7142857142858</v>
      </c>
      <c r="O16" s="111"/>
      <c r="P16" s="111"/>
      <c r="Q16" s="111"/>
      <c r="R16" s="16"/>
      <c r="S16" s="16"/>
      <c r="T16" s="58"/>
      <c r="U16" s="75"/>
      <c r="V16" s="77"/>
      <c r="W16" s="123"/>
      <c r="X16" s="23"/>
      <c r="Y16" s="57"/>
      <c r="Z16" s="33" t="s">
        <v>32</v>
      </c>
      <c r="AA16" s="33">
        <f>D21</f>
        <v>90</v>
      </c>
      <c r="AB16" s="33">
        <f>630000/35*18</f>
        <v>324000</v>
      </c>
      <c r="AC16" s="44">
        <f>AA16*AB16</f>
        <v>29160000</v>
      </c>
      <c r="AD16" s="16"/>
      <c r="AE16" s="16"/>
      <c r="AF16" s="1"/>
      <c r="AG16" s="1"/>
      <c r="AH16" s="1"/>
      <c r="AI16" s="1"/>
      <c r="AJ16" s="1"/>
      <c r="AK16" s="1"/>
      <c r="AL16" s="1"/>
    </row>
    <row r="17" spans="2:38" ht="15.75">
      <c r="B17" s="90"/>
      <c r="C17" s="67"/>
      <c r="D17" s="68"/>
      <c r="E17" s="72"/>
      <c r="F17" s="73"/>
      <c r="G17" s="47"/>
      <c r="H17" s="47"/>
      <c r="I17" s="16"/>
      <c r="J17" s="31"/>
      <c r="K17" s="16"/>
      <c r="L17" s="16"/>
      <c r="M17" s="16"/>
      <c r="N17" s="16"/>
      <c r="O17" s="16"/>
      <c r="P17" s="16"/>
      <c r="Q17" s="16"/>
      <c r="R17" s="16"/>
      <c r="S17" s="16"/>
      <c r="T17" s="33" t="s">
        <v>39</v>
      </c>
      <c r="U17" s="54">
        <v>90</v>
      </c>
      <c r="V17" s="34">
        <f>AA12</f>
        <v>1410848.6208445644</v>
      </c>
      <c r="W17" s="35">
        <f>U17*V17</f>
        <v>126976375.87601079</v>
      </c>
      <c r="X17" s="23"/>
      <c r="Y17" s="57"/>
      <c r="Z17" s="33" t="s">
        <v>33</v>
      </c>
      <c r="AA17" s="33">
        <f>D22</f>
        <v>95</v>
      </c>
      <c r="AB17" s="33">
        <f>630000/35*18</f>
        <v>324000</v>
      </c>
      <c r="AC17" s="44">
        <f aca="true" t="shared" si="0" ref="AC17:AC24">AA17*AB17</f>
        <v>30780000</v>
      </c>
      <c r="AD17" s="16"/>
      <c r="AE17" s="16"/>
      <c r="AF17" s="1"/>
      <c r="AG17" s="1"/>
      <c r="AH17" s="1"/>
      <c r="AI17" s="1"/>
      <c r="AJ17" s="1"/>
      <c r="AK17" s="1"/>
      <c r="AL17" s="1"/>
    </row>
    <row r="18" spans="2:38" ht="15.75" customHeight="1">
      <c r="B18" s="90"/>
      <c r="C18" s="82" t="s">
        <v>31</v>
      </c>
      <c r="D18" s="85" t="s">
        <v>68</v>
      </c>
      <c r="E18" s="88" t="s">
        <v>31</v>
      </c>
      <c r="F18" s="88" t="s">
        <v>68</v>
      </c>
      <c r="G18" s="48"/>
      <c r="H18" s="48"/>
      <c r="I18" s="15"/>
      <c r="J18" s="31"/>
      <c r="K18" s="15"/>
      <c r="L18" s="15"/>
      <c r="M18" s="15"/>
      <c r="N18" s="15"/>
      <c r="O18" s="15"/>
      <c r="P18" s="15"/>
      <c r="Q18" s="15"/>
      <c r="R18" s="15"/>
      <c r="S18" s="13"/>
      <c r="T18" s="33" t="s">
        <v>40</v>
      </c>
      <c r="U18" s="54">
        <v>95</v>
      </c>
      <c r="V18" s="34">
        <f>AB12</f>
        <v>1410848.6208445644</v>
      </c>
      <c r="W18" s="35">
        <f>U18*V18</f>
        <v>134030618.98023362</v>
      </c>
      <c r="X18" s="23"/>
      <c r="Y18" s="57"/>
      <c r="Z18" s="33" t="s">
        <v>34</v>
      </c>
      <c r="AA18" s="33">
        <f>D23</f>
        <v>80</v>
      </c>
      <c r="AB18" s="33">
        <f>630000/35*18</f>
        <v>324000</v>
      </c>
      <c r="AC18" s="44">
        <f t="shared" si="0"/>
        <v>25920000</v>
      </c>
      <c r="AD18" s="15"/>
      <c r="AE18" s="15"/>
      <c r="AF18" s="1"/>
      <c r="AG18" s="1"/>
      <c r="AH18" s="1"/>
      <c r="AI18" s="1"/>
      <c r="AJ18" s="1"/>
      <c r="AK18" s="1"/>
      <c r="AL18" s="1"/>
    </row>
    <row r="19" spans="2:38" ht="15.75">
      <c r="B19" s="90"/>
      <c r="C19" s="83"/>
      <c r="D19" s="86"/>
      <c r="E19" s="88"/>
      <c r="F19" s="88"/>
      <c r="G19" s="48"/>
      <c r="H19" s="48"/>
      <c r="I19" s="15"/>
      <c r="J19" s="31"/>
      <c r="K19" s="15"/>
      <c r="L19" s="15"/>
      <c r="M19" s="15"/>
      <c r="N19" s="15"/>
      <c r="O19" s="15"/>
      <c r="P19" s="15"/>
      <c r="Q19" s="15"/>
      <c r="R19" s="15"/>
      <c r="S19" s="13"/>
      <c r="T19" s="33" t="s">
        <v>50</v>
      </c>
      <c r="U19" s="54">
        <v>80</v>
      </c>
      <c r="V19" s="34">
        <f>AC12</f>
        <v>1410848.6208445644</v>
      </c>
      <c r="W19" s="35">
        <f>U19*V19</f>
        <v>112867889.66756515</v>
      </c>
      <c r="X19" s="23"/>
      <c r="Y19" s="58"/>
      <c r="Z19" s="33" t="s">
        <v>35</v>
      </c>
      <c r="AA19" s="33">
        <f>D24</f>
        <v>0</v>
      </c>
      <c r="AB19" s="33">
        <f>630000/35*18</f>
        <v>324000</v>
      </c>
      <c r="AC19" s="44">
        <f t="shared" si="0"/>
        <v>0</v>
      </c>
      <c r="AD19" s="15"/>
      <c r="AE19" s="15"/>
      <c r="AF19" s="1"/>
      <c r="AG19" s="1"/>
      <c r="AH19" s="1"/>
      <c r="AI19" s="1"/>
      <c r="AJ19" s="1"/>
      <c r="AK19" s="1"/>
      <c r="AL19" s="1"/>
    </row>
    <row r="20" spans="2:38" ht="19.5" customHeight="1">
      <c r="B20" s="91"/>
      <c r="C20" s="84"/>
      <c r="D20" s="87"/>
      <c r="E20" s="88"/>
      <c r="F20" s="88"/>
      <c r="G20" s="48"/>
      <c r="H20" s="4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3"/>
      <c r="T20" s="33" t="s">
        <v>41</v>
      </c>
      <c r="U20" s="54">
        <v>66</v>
      </c>
      <c r="V20" s="36">
        <f>AD12</f>
        <v>1368879.5952380954</v>
      </c>
      <c r="W20" s="35">
        <f>U20*V20</f>
        <v>90346053.2857143</v>
      </c>
      <c r="X20" s="23"/>
      <c r="Y20" s="56" t="s">
        <v>44</v>
      </c>
      <c r="Z20" s="33" t="s">
        <v>32</v>
      </c>
      <c r="AA20" s="33">
        <f>F21</f>
        <v>0</v>
      </c>
      <c r="AB20" s="33">
        <f>450000/35*18</f>
        <v>231428.57142857142</v>
      </c>
      <c r="AC20" s="44">
        <f t="shared" si="0"/>
        <v>0</v>
      </c>
      <c r="AD20" s="15"/>
      <c r="AE20" s="15"/>
      <c r="AF20" s="1"/>
      <c r="AG20" s="1"/>
      <c r="AH20" s="1"/>
      <c r="AI20" s="1"/>
      <c r="AJ20" s="1"/>
      <c r="AK20" s="1"/>
      <c r="AL20" s="1"/>
    </row>
    <row r="21" spans="2:31" ht="15.75">
      <c r="B21" s="46" t="s">
        <v>32</v>
      </c>
      <c r="C21" s="24">
        <v>3</v>
      </c>
      <c r="D21" s="26">
        <v>90</v>
      </c>
      <c r="E21" s="26"/>
      <c r="F21" s="26"/>
      <c r="G21" s="48"/>
      <c r="H21" s="48"/>
      <c r="I21" s="28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33" t="s">
        <v>42</v>
      </c>
      <c r="U21" s="54">
        <v>74</v>
      </c>
      <c r="V21" s="36">
        <f>AE12</f>
        <v>1368879.5952380954</v>
      </c>
      <c r="W21" s="35">
        <f>U21*V21</f>
        <v>101297090.04761906</v>
      </c>
      <c r="X21" s="21"/>
      <c r="Y21" s="57"/>
      <c r="Z21" s="33" t="s">
        <v>33</v>
      </c>
      <c r="AA21" s="33">
        <f>F22</f>
        <v>0</v>
      </c>
      <c r="AB21" s="33">
        <f>450000/35*18</f>
        <v>231428.57142857142</v>
      </c>
      <c r="AC21" s="44">
        <f t="shared" si="0"/>
        <v>0</v>
      </c>
      <c r="AD21" s="13"/>
      <c r="AE21" s="13"/>
    </row>
    <row r="22" spans="2:31" ht="15.75">
      <c r="B22" s="46" t="s">
        <v>33</v>
      </c>
      <c r="C22" s="24">
        <v>3</v>
      </c>
      <c r="D22" s="26">
        <v>95</v>
      </c>
      <c r="E22" s="26"/>
      <c r="F22" s="26"/>
      <c r="G22" s="48"/>
      <c r="H22" s="48"/>
      <c r="I22" s="28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53" t="s">
        <v>72</v>
      </c>
      <c r="U22" s="37">
        <f>SUM(U17:U21)</f>
        <v>405</v>
      </c>
      <c r="V22" s="38"/>
      <c r="W22" s="39">
        <f>SUM(W17:W21)</f>
        <v>565518027.8571429</v>
      </c>
      <c r="X22" s="21"/>
      <c r="Y22" s="57"/>
      <c r="Z22" s="41" t="s">
        <v>34</v>
      </c>
      <c r="AA22" s="33">
        <f>F23</f>
        <v>0</v>
      </c>
      <c r="AB22" s="33">
        <f>450000/35*18</f>
        <v>231428.57142857142</v>
      </c>
      <c r="AC22" s="44">
        <f t="shared" si="0"/>
        <v>0</v>
      </c>
      <c r="AD22" s="13"/>
      <c r="AE22" s="13"/>
    </row>
    <row r="23" spans="2:31" ht="15.75" customHeight="1">
      <c r="B23" s="46" t="s">
        <v>34</v>
      </c>
      <c r="C23" s="25">
        <v>3</v>
      </c>
      <c r="D23" s="22">
        <v>80</v>
      </c>
      <c r="E23" s="22"/>
      <c r="F23" s="22"/>
      <c r="G23" s="30"/>
      <c r="H23" s="30"/>
      <c r="I23" s="28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14" t="s">
        <v>73</v>
      </c>
      <c r="U23" s="115"/>
      <c r="V23" s="116"/>
      <c r="W23" s="39">
        <f>E12*N16*18</f>
        <v>10976657.142857144</v>
      </c>
      <c r="X23" s="21"/>
      <c r="Y23" s="57"/>
      <c r="Z23" s="41" t="s">
        <v>35</v>
      </c>
      <c r="AA23" s="33">
        <f>F24</f>
        <v>66</v>
      </c>
      <c r="AB23" s="33">
        <f>450000/35*18</f>
        <v>231428.57142857142</v>
      </c>
      <c r="AC23" s="44">
        <f t="shared" si="0"/>
        <v>15274285.714285715</v>
      </c>
      <c r="AD23" s="13"/>
      <c r="AE23" s="13"/>
    </row>
    <row r="24" spans="2:29" ht="15.75">
      <c r="B24" s="46" t="s">
        <v>35</v>
      </c>
      <c r="C24" s="25"/>
      <c r="D24" s="22"/>
      <c r="E24" s="22">
        <v>3</v>
      </c>
      <c r="F24" s="22">
        <v>66</v>
      </c>
      <c r="G24" s="30"/>
      <c r="H24" s="30"/>
      <c r="I24" s="28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17" t="s">
        <v>46</v>
      </c>
      <c r="U24" s="118"/>
      <c r="V24" s="119"/>
      <c r="W24" s="55">
        <f>W22+W23</f>
        <v>576494685.0000001</v>
      </c>
      <c r="X24" s="21"/>
      <c r="Y24" s="58"/>
      <c r="Z24" s="41" t="s">
        <v>36</v>
      </c>
      <c r="AA24" s="33">
        <f>F25</f>
        <v>74</v>
      </c>
      <c r="AB24" s="33">
        <f>450000/35*18</f>
        <v>231428.57142857142</v>
      </c>
      <c r="AC24" s="44">
        <f t="shared" si="0"/>
        <v>17125714.285714284</v>
      </c>
    </row>
    <row r="25" spans="2:29" ht="15.75">
      <c r="B25" s="46" t="s">
        <v>36</v>
      </c>
      <c r="C25" s="49"/>
      <c r="D25" s="49"/>
      <c r="E25" s="125">
        <v>3</v>
      </c>
      <c r="F25" s="125">
        <v>74</v>
      </c>
      <c r="G25" s="50"/>
      <c r="H25" s="50"/>
      <c r="I25" s="10"/>
      <c r="J25" s="10"/>
      <c r="K25" s="10"/>
      <c r="L25" s="10"/>
      <c r="M25" s="10"/>
      <c r="N25" s="10"/>
      <c r="O25" s="10"/>
      <c r="P25" s="10"/>
      <c r="Q25" s="10"/>
      <c r="T25" s="18"/>
      <c r="U25" s="18"/>
      <c r="V25" s="19"/>
      <c r="W25" s="20"/>
      <c r="X25" s="18"/>
      <c r="Y25" s="61" t="s">
        <v>45</v>
      </c>
      <c r="Z25" s="62"/>
      <c r="AA25" s="33"/>
      <c r="AB25" s="33"/>
      <c r="AC25" s="45">
        <f>W12</f>
        <v>458234685</v>
      </c>
    </row>
    <row r="26" spans="25:29" ht="15.75">
      <c r="Y26" s="59" t="s">
        <v>47</v>
      </c>
      <c r="Z26" s="60"/>
      <c r="AA26" s="42"/>
      <c r="AB26" s="42"/>
      <c r="AC26" s="43">
        <f>SUM(AC16:AC25)</f>
        <v>576494685</v>
      </c>
    </row>
    <row r="27" spans="2:20" ht="15.75">
      <c r="B27" s="52" t="s">
        <v>71</v>
      </c>
      <c r="C27" s="52"/>
      <c r="D27" s="52"/>
      <c r="E27" s="52"/>
      <c r="F27" s="52"/>
      <c r="G27" s="52"/>
      <c r="H27" s="52"/>
      <c r="I27" s="52"/>
      <c r="J27" s="52"/>
      <c r="K27" s="51"/>
      <c r="L27" s="51"/>
      <c r="M27" s="51"/>
      <c r="N27" s="51"/>
      <c r="O27" s="51"/>
      <c r="P27" s="51"/>
      <c r="T27" s="11" t="s">
        <v>70</v>
      </c>
    </row>
    <row r="36" ht="15.75">
      <c r="W36" s="32"/>
    </row>
  </sheetData>
  <sheetProtection/>
  <mergeCells count="62">
    <mergeCell ref="T23:V23"/>
    <mergeCell ref="T24:V24"/>
    <mergeCell ref="E18:E20"/>
    <mergeCell ref="J14:Q14"/>
    <mergeCell ref="J15:M15"/>
    <mergeCell ref="Y8:Y11"/>
    <mergeCell ref="G9:H9"/>
    <mergeCell ref="R8:R11"/>
    <mergeCell ref="W15:W16"/>
    <mergeCell ref="Y14:AC14"/>
    <mergeCell ref="J16:M16"/>
    <mergeCell ref="N15:Q15"/>
    <mergeCell ref="N16:Q16"/>
    <mergeCell ref="O10:O11"/>
    <mergeCell ref="J8:P8"/>
    <mergeCell ref="P9:P11"/>
    <mergeCell ref="N10:N11"/>
    <mergeCell ref="AG8:AG11"/>
    <mergeCell ref="U8:U11"/>
    <mergeCell ref="S8:S11"/>
    <mergeCell ref="AA8:AE10"/>
    <mergeCell ref="W8:W11"/>
    <mergeCell ref="X8:X11"/>
    <mergeCell ref="V8:V11"/>
    <mergeCell ref="Z8:Z11"/>
    <mergeCell ref="AF8:AF11"/>
    <mergeCell ref="T8:T11"/>
    <mergeCell ref="A1:E1"/>
    <mergeCell ref="A2:E2"/>
    <mergeCell ref="A4:V4"/>
    <mergeCell ref="A5:V5"/>
    <mergeCell ref="A6:V6"/>
    <mergeCell ref="A8:A11"/>
    <mergeCell ref="Q8:Q11"/>
    <mergeCell ref="F8:I8"/>
    <mergeCell ref="H10:H11"/>
    <mergeCell ref="K10:K11"/>
    <mergeCell ref="I9:I11"/>
    <mergeCell ref="E8:E11"/>
    <mergeCell ref="J9:J11"/>
    <mergeCell ref="M10:M11"/>
    <mergeCell ref="K9:O9"/>
    <mergeCell ref="L10:L11"/>
    <mergeCell ref="B8:B11"/>
    <mergeCell ref="C8:C11"/>
    <mergeCell ref="F9:F11"/>
    <mergeCell ref="G10:G11"/>
    <mergeCell ref="C18:C20"/>
    <mergeCell ref="D18:D20"/>
    <mergeCell ref="F18:F20"/>
    <mergeCell ref="B14:B20"/>
    <mergeCell ref="D8:D11"/>
    <mergeCell ref="Y20:Y24"/>
    <mergeCell ref="Y26:Z26"/>
    <mergeCell ref="Y25:Z25"/>
    <mergeCell ref="C14:D17"/>
    <mergeCell ref="E14:F17"/>
    <mergeCell ref="T15:T16"/>
    <mergeCell ref="U15:U16"/>
    <mergeCell ref="V15:V16"/>
    <mergeCell ref="Y15:Y19"/>
    <mergeCell ref="T14:W14"/>
  </mergeCells>
  <printOptions/>
  <pageMargins left="0" right="0" top="0" bottom="0.25" header="0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Customers</dc:creator>
  <cp:keywords/>
  <dc:description/>
  <cp:lastModifiedBy>Administrator</cp:lastModifiedBy>
  <cp:lastPrinted>2019-12-11T09:06:01Z</cp:lastPrinted>
  <dcterms:created xsi:type="dcterms:W3CDTF">2017-08-01T00:43:54Z</dcterms:created>
  <dcterms:modified xsi:type="dcterms:W3CDTF">2019-12-11T09:06:48Z</dcterms:modified>
  <cp:category/>
  <cp:version/>
  <cp:contentType/>
  <cp:contentStatus/>
</cp:coreProperties>
</file>